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8\18 03 05 729 р УК Архангельск 1 конкурс\Внесение изменений\Лот 3 Октябрь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лот1!$A$1:$AO$54</definedName>
  </definedNames>
  <calcPr calcId="152511"/>
</workbook>
</file>

<file path=xl/calcChain.xml><?xml version="1.0" encoding="utf-8"?>
<calcChain xmlns="http://schemas.openxmlformats.org/spreadsheetml/2006/main">
  <c r="W32" i="3" l="1"/>
  <c r="V32" i="3"/>
  <c r="W21" i="3"/>
  <c r="W18" i="3"/>
  <c r="W17" i="3"/>
  <c r="W15" i="3"/>
  <c r="V18" i="3"/>
  <c r="V17" i="3"/>
  <c r="V15" i="3"/>
  <c r="P17" i="3"/>
  <c r="P15" i="3"/>
  <c r="P18" i="3"/>
  <c r="P21" i="3"/>
  <c r="P32" i="3"/>
  <c r="O32" i="3"/>
  <c r="O18" i="3"/>
  <c r="O17" i="3"/>
  <c r="O15" i="3"/>
  <c r="M32" i="3"/>
  <c r="L32" i="3"/>
  <c r="M18" i="3"/>
  <c r="M17" i="3"/>
  <c r="M15" i="3"/>
  <c r="L18" i="3"/>
  <c r="L17" i="3"/>
  <c r="L15" i="3"/>
  <c r="J32" i="3"/>
  <c r="I32" i="3"/>
  <c r="J18" i="3"/>
  <c r="J17" i="3"/>
  <c r="J15" i="3"/>
  <c r="J21" i="3"/>
  <c r="I18" i="3"/>
  <c r="I17" i="3"/>
  <c r="I15" i="3"/>
  <c r="G32" i="3"/>
  <c r="F32" i="3"/>
  <c r="G18" i="3"/>
  <c r="G17" i="3"/>
  <c r="G15" i="3"/>
  <c r="F18" i="3"/>
  <c r="F17" i="3"/>
  <c r="F15" i="3"/>
  <c r="C32" i="3"/>
  <c r="C18" i="3"/>
  <c r="C17" i="3"/>
  <c r="C15" i="3"/>
  <c r="V26" i="3" l="1"/>
  <c r="V22" i="3"/>
  <c r="V14" i="3"/>
  <c r="V36" i="3" s="1"/>
  <c r="V9" i="3"/>
  <c r="O26" i="3"/>
  <c r="O22" i="3"/>
  <c r="O14" i="3"/>
  <c r="O9" i="3"/>
  <c r="L26" i="3"/>
  <c r="L22" i="3"/>
  <c r="L14" i="3"/>
  <c r="L9" i="3"/>
  <c r="I26" i="3"/>
  <c r="I22" i="3"/>
  <c r="I14" i="3"/>
  <c r="I9" i="3"/>
  <c r="F26" i="3"/>
  <c r="F22" i="3"/>
  <c r="F14" i="3"/>
  <c r="F9" i="3"/>
  <c r="G10" i="3"/>
  <c r="G9" i="3" s="1"/>
  <c r="J10" i="3"/>
  <c r="G11" i="3"/>
  <c r="J11" i="3"/>
  <c r="G16" i="3"/>
  <c r="J16" i="3"/>
  <c r="G19" i="3"/>
  <c r="J19" i="3"/>
  <c r="G20" i="3"/>
  <c r="J20" i="3"/>
  <c r="G23" i="3"/>
  <c r="J23" i="3"/>
  <c r="G24" i="3"/>
  <c r="J24" i="3"/>
  <c r="G25" i="3"/>
  <c r="J25" i="3"/>
  <c r="G27" i="3"/>
  <c r="J27" i="3"/>
  <c r="G28" i="3"/>
  <c r="J28" i="3"/>
  <c r="G29" i="3"/>
  <c r="J29" i="3"/>
  <c r="G30" i="3"/>
  <c r="J30" i="3"/>
  <c r="G31" i="3"/>
  <c r="J31" i="3"/>
  <c r="G33" i="3"/>
  <c r="J33" i="3"/>
  <c r="J14" i="3" l="1"/>
  <c r="J34" i="3" s="1"/>
  <c r="J36" i="3" s="1"/>
  <c r="J26" i="3"/>
  <c r="G26" i="3"/>
  <c r="F36" i="3"/>
  <c r="I36" i="3"/>
  <c r="L36" i="3"/>
  <c r="O36" i="3"/>
  <c r="J22" i="3"/>
  <c r="J9" i="3"/>
  <c r="G22" i="3"/>
  <c r="G14" i="3"/>
  <c r="X35" i="3"/>
  <c r="Z35" i="3" s="1"/>
  <c r="T10" i="3"/>
  <c r="T11" i="3"/>
  <c r="T15" i="3"/>
  <c r="T16" i="3"/>
  <c r="T17" i="3"/>
  <c r="T18" i="3"/>
  <c r="T19" i="3"/>
  <c r="T20" i="3"/>
  <c r="T23" i="3"/>
  <c r="T24" i="3"/>
  <c r="T25" i="3"/>
  <c r="T27" i="3"/>
  <c r="T28" i="3"/>
  <c r="T29" i="3"/>
  <c r="T30" i="3"/>
  <c r="T31" i="3"/>
  <c r="T32" i="3"/>
  <c r="T33" i="3"/>
  <c r="M10" i="3"/>
  <c r="P10" i="3"/>
  <c r="M11" i="3"/>
  <c r="P11" i="3"/>
  <c r="M16" i="3"/>
  <c r="P16" i="3"/>
  <c r="M19" i="3"/>
  <c r="P19" i="3"/>
  <c r="M20" i="3"/>
  <c r="P20" i="3"/>
  <c r="M23" i="3"/>
  <c r="P23" i="3"/>
  <c r="M24" i="3"/>
  <c r="P24" i="3"/>
  <c r="M25" i="3"/>
  <c r="P25" i="3"/>
  <c r="M27" i="3"/>
  <c r="P27" i="3"/>
  <c r="M28" i="3"/>
  <c r="P28" i="3"/>
  <c r="M29" i="3"/>
  <c r="P29" i="3"/>
  <c r="M30" i="3"/>
  <c r="P30" i="3"/>
  <c r="M31" i="3"/>
  <c r="P31" i="3"/>
  <c r="M33" i="3"/>
  <c r="P33" i="3"/>
  <c r="G34" i="3" l="1"/>
  <c r="G36" i="3" s="1"/>
  <c r="T26" i="3"/>
  <c r="T14" i="3"/>
  <c r="T22" i="3"/>
  <c r="T9" i="3"/>
  <c r="P26" i="3"/>
  <c r="P22" i="3"/>
  <c r="P14" i="3"/>
  <c r="P9" i="3"/>
  <c r="M26" i="3"/>
  <c r="M22" i="3"/>
  <c r="M14" i="3"/>
  <c r="M9" i="3"/>
  <c r="W33" i="3"/>
  <c r="W31" i="3"/>
  <c r="W30" i="3"/>
  <c r="W29" i="3"/>
  <c r="W28" i="3"/>
  <c r="W27" i="3"/>
  <c r="W25" i="3"/>
  <c r="W24" i="3"/>
  <c r="W23" i="3"/>
  <c r="W20" i="3"/>
  <c r="W19" i="3"/>
  <c r="W16" i="3"/>
  <c r="W11" i="3"/>
  <c r="W9" i="3" s="1"/>
  <c r="W10" i="3"/>
  <c r="S26" i="3"/>
  <c r="S22" i="3"/>
  <c r="S14" i="3"/>
  <c r="S9" i="3"/>
  <c r="D33" i="3"/>
  <c r="D32" i="3"/>
  <c r="D31" i="3"/>
  <c r="D30" i="3"/>
  <c r="D29" i="3"/>
  <c r="D28" i="3"/>
  <c r="D27" i="3"/>
  <c r="D25" i="3"/>
  <c r="D24" i="3"/>
  <c r="D23" i="3"/>
  <c r="D20" i="3"/>
  <c r="D19" i="3"/>
  <c r="D18" i="3"/>
  <c r="D17" i="3"/>
  <c r="D16" i="3"/>
  <c r="D15" i="3"/>
  <c r="D11" i="3"/>
  <c r="D10" i="3"/>
  <c r="C26" i="3"/>
  <c r="C22" i="3"/>
  <c r="C14" i="3"/>
  <c r="C9" i="3"/>
  <c r="P34" i="3" l="1"/>
  <c r="P36" i="3" s="1"/>
  <c r="T34" i="3"/>
  <c r="M34" i="3"/>
  <c r="M36" i="3" s="1"/>
  <c r="S36" i="3"/>
  <c r="C36" i="3"/>
  <c r="D9" i="3"/>
  <c r="D22" i="3"/>
  <c r="W26" i="3"/>
  <c r="W22" i="3"/>
  <c r="W14" i="3"/>
  <c r="D26" i="3"/>
  <c r="D14" i="3"/>
  <c r="T36" i="3" l="1"/>
  <c r="D34" i="3"/>
  <c r="D36" i="3" s="1"/>
  <c r="W34" i="3"/>
  <c r="W36" i="3" s="1"/>
  <c r="X34" i="3" l="1"/>
  <c r="Y34" i="3" s="1"/>
  <c r="Z34" i="3" s="1"/>
</calcChain>
</file>

<file path=xl/sharedStrings.xml><?xml version="1.0" encoding="utf-8"?>
<sst xmlns="http://schemas.openxmlformats.org/spreadsheetml/2006/main" count="226" uniqueCount="67">
  <si>
    <t>месяцы</t>
  </si>
  <si>
    <t>4 раз(а) в год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</si>
  <si>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</si>
  <si>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</si>
  <si>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</si>
  <si>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</si>
  <si>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</si>
  <si>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</si>
  <si>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</si>
  <si>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</si>
  <si>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</si>
  <si>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</si>
  <si>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</si>
  <si>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</si>
  <si>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</si>
  <si>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</si>
  <si>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</si>
  <si>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</si>
  <si>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</si>
  <si>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</si>
  <si>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</si>
  <si>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</si>
  <si>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</si>
  <si>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</si>
  <si>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</si>
  <si>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</si>
  <si>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</si>
  <si>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>V. Расходы по управлению МКД</t>
  </si>
  <si>
    <t>постоянно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</si>
  <si>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</si>
  <si>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</si>
  <si>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</si>
  <si>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9. Сезонный осмотр конструкций здания( фасадов, стен, фундаментов, кровли, преркрытий, лестниц) Составление актов осмотра.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</si>
  <si>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проведение восстановительных работ, в отопительный период - незамедлительный ремонт
</t>
  </si>
  <si>
    <t>13. Аварийное обслуживание</t>
  </si>
  <si>
    <t>14. Текущий ремонт</t>
  </si>
  <si>
    <t>15. Дератизация</t>
  </si>
  <si>
    <t>16. Дезинсекция</t>
  </si>
  <si>
    <t>6 раз(а) в год</t>
  </si>
  <si>
    <t xml:space="preserve"> деревянный благоустроенный с ХВС, ГВС, канализация, печное отопление (без центр отопления)</t>
  </si>
  <si>
    <t xml:space="preserve"> раз(а) в неделю</t>
  </si>
  <si>
    <t>раз(а) в неделю</t>
  </si>
  <si>
    <t xml:space="preserve">3. Уборка мусора с придомовой территории </t>
  </si>
  <si>
    <t>2 раз(а) в год</t>
  </si>
  <si>
    <t>4 раз(а) в неделю контейнера</t>
  </si>
  <si>
    <t>11. Проверка исправности, работоспособности, регулировка и техническое обслуживание  запорной арматуры,   систем водоснабжения, обслуживание и ремонт бойлерных, смена отдельных участков трубопроводов по необходимости. Контроль состояния герметичности участков трубопроводов, промывка систем водоснабжения для удаления накипно-коррозионных отложений. Проверка дымоходов, печей. Устранение неисправности печей. Очистка дымовых труб, устранение завалов дымовых каналов.
Заделка щелей в печах, оштукатуривание, прочистка дымохода.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</si>
  <si>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водоснабжения.Ремонт выключателей, замена ламп.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</si>
  <si>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</si>
  <si>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</si>
  <si>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</si>
  <si>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>Общая годовая стоимость работ по многоквартирным домам</t>
  </si>
  <si>
    <t>Площадь жилых помещений</t>
  </si>
  <si>
    <t xml:space="preserve">Стоимость на 1 кв. м. общей площади (руб./мес.)         (размер платы в месяц на 1 кв. м.)  </t>
  </si>
  <si>
    <t xml:space="preserve"> МВК признанный аварийным деревянный благоустроенный с ХВС, ГВС, канализация, печное отопление (без центр отопления)</t>
  </si>
  <si>
    <t>ул. Гагарина</t>
  </si>
  <si>
    <t>15</t>
  </si>
  <si>
    <t>28</t>
  </si>
  <si>
    <t>51</t>
  </si>
  <si>
    <t>57,1</t>
  </si>
  <si>
    <t>59,1</t>
  </si>
  <si>
    <t>Лот № 3 Октябрьский территориальный округ</t>
  </si>
  <si>
    <t>31,1</t>
  </si>
  <si>
    <t>49</t>
  </si>
  <si>
    <t>Покос травы</t>
  </si>
  <si>
    <t>1 раз(а) в 2 недели, уборка мусора с газонов 1 раз в месяц</t>
  </si>
  <si>
    <t>3 раз(а) в неделю</t>
  </si>
  <si>
    <t>3 раз(а) в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</si>
</sst>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5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6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9" fillId="2" borderId="4" xfId="0" applyNumberFormat="1" applyFont="1" applyFill="1" applyBorder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" fontId="7" fillId="2" borderId="0" xfId="0" applyNumberFormat="1" applyFont="1" applyFill="1" applyBorder="1" applyAlignment="1">
      <alignment horizontal="left" vertical="center" wrapText="1"/>
    </xf>
    <xf numFmtId="4" fontId="9" fillId="2" borderId="0" xfId="0" applyNumberFormat="1" applyFont="1" applyFill="1" applyBorder="1" applyAlignment="1">
      <alignment horizontal="center" vertical="center"/>
    </xf>
    <xf numFmtId="4" fontId="1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4" fontId="8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4" fontId="9" fillId="2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49" fontId="12" fillId="2" borderId="6" xfId="0" applyNumberFormat="1" applyFont="1" applyFill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4" fontId="15" fillId="0" borderId="1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left" vertical="center"/>
    </xf>
    <xf numFmtId="4" fontId="7" fillId="3" borderId="2" xfId="0" applyNumberFormat="1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left" vertical="center"/>
    </xf>
    <xf numFmtId="4" fontId="7" fillId="3" borderId="5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2" fontId="12" fillId="2" borderId="5" xfId="0" applyNumberFormat="1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4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" fontId="4" fillId="3" borderId="0" xfId="0" applyNumberFormat="1" applyFont="1" applyFill="1" applyBorder="1" applyAlignment="1">
      <alignment horizontal="center" vertical="center"/>
    </xf>
    <xf numFmtId="4" fontId="4" fillId="3" borderId="0" xfId="0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4" fontId="14" fillId="3" borderId="5" xfId="0" applyNumberFormat="1" applyFont="1" applyFill="1" applyBorder="1" applyAlignment="1">
      <alignment horizontal="center" vertical="center" wrapText="1"/>
    </xf>
    <xf numFmtId="4" fontId="7" fillId="3" borderId="5" xfId="0" applyNumberFormat="1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tabSelected="1" view="pageBreakPreview" topLeftCell="R4" zoomScale="86" zoomScaleNormal="100" zoomScaleSheetLayoutView="86" workbookViewId="0">
      <selection activeCell="U15" sqref="U15:U21"/>
    </sheetView>
  </sheetViews>
  <sheetFormatPr defaultRowHeight="12.75" x14ac:dyDescent="0.2"/>
  <cols>
    <col min="1" max="1" width="70.140625" style="21" customWidth="1"/>
    <col min="2" max="2" width="34.7109375" style="15" customWidth="1"/>
    <col min="3" max="3" width="27.140625" style="15" customWidth="1"/>
    <col min="4" max="4" width="9.28515625" style="20" customWidth="1"/>
    <col min="5" max="5" width="34.7109375" style="15" customWidth="1"/>
    <col min="6" max="6" width="27.140625" style="15" customWidth="1"/>
    <col min="7" max="7" width="9.28515625" style="20" customWidth="1"/>
    <col min="8" max="8" width="34.7109375" style="15" customWidth="1"/>
    <col min="9" max="9" width="27.140625" style="15" customWidth="1"/>
    <col min="10" max="10" width="9.28515625" style="20" customWidth="1"/>
    <col min="11" max="11" width="34.7109375" style="15" customWidth="1"/>
    <col min="12" max="12" width="27.140625" style="15" customWidth="1"/>
    <col min="13" max="13" width="9.28515625" style="20" customWidth="1"/>
    <col min="14" max="14" width="34.7109375" style="15" customWidth="1"/>
    <col min="15" max="15" width="27.140625" style="15" customWidth="1"/>
    <col min="16" max="16" width="9.28515625" style="20" customWidth="1"/>
    <col min="17" max="17" width="72.85546875" customWidth="1"/>
    <col min="18" max="19" width="34.28515625" customWidth="1"/>
    <col min="20" max="20" width="9.7109375" style="40" customWidth="1"/>
    <col min="21" max="22" width="34.28515625" customWidth="1"/>
    <col min="24" max="24" width="13.140625" style="40" customWidth="1"/>
    <col min="25" max="25" width="17" style="40" customWidth="1"/>
    <col min="26" max="26" width="20.5703125" style="40" customWidth="1"/>
    <col min="27" max="27" width="72.85546875" style="40" customWidth="1"/>
    <col min="28" max="29" width="34.28515625" style="40" customWidth="1"/>
    <col min="30" max="30" width="9.140625" style="40"/>
  </cols>
  <sheetData>
    <row r="1" spans="1:30" s="1" customFormat="1" ht="16.5" customHeight="1" x14ac:dyDescent="0.25">
      <c r="A1" s="14" t="s">
        <v>16</v>
      </c>
      <c r="B1" s="14"/>
      <c r="C1" s="11"/>
      <c r="D1" s="7" t="s">
        <v>29</v>
      </c>
      <c r="E1" s="14"/>
      <c r="F1" s="11"/>
      <c r="G1" s="7"/>
      <c r="H1" s="14"/>
      <c r="I1" s="11"/>
      <c r="J1" s="7"/>
      <c r="K1" s="14"/>
      <c r="L1" s="11"/>
      <c r="M1" s="7"/>
      <c r="N1" s="14"/>
      <c r="O1" s="11"/>
      <c r="P1" s="7"/>
      <c r="T1" s="13"/>
      <c r="X1" s="13"/>
      <c r="Y1" s="13"/>
      <c r="Z1" s="13"/>
      <c r="AA1" s="13"/>
      <c r="AB1" s="13"/>
      <c r="AC1" s="13"/>
      <c r="AD1" s="13"/>
    </row>
    <row r="2" spans="1:30" s="1" customFormat="1" ht="16.5" customHeight="1" x14ac:dyDescent="0.25">
      <c r="A2" s="14" t="s">
        <v>15</v>
      </c>
      <c r="B2" s="14"/>
      <c r="C2" s="11"/>
      <c r="D2" s="3" t="s">
        <v>30</v>
      </c>
      <c r="E2" s="14"/>
      <c r="F2" s="11"/>
      <c r="G2" s="3"/>
      <c r="H2" s="14"/>
      <c r="I2" s="11"/>
      <c r="J2" s="3"/>
      <c r="K2" s="14"/>
      <c r="L2" s="11"/>
      <c r="M2" s="3"/>
      <c r="N2" s="14"/>
      <c r="O2" s="11"/>
      <c r="P2" s="3"/>
      <c r="T2" s="13"/>
      <c r="X2" s="13"/>
      <c r="Y2" s="13"/>
      <c r="Z2" s="13"/>
      <c r="AA2" s="13"/>
      <c r="AB2" s="13"/>
      <c r="AC2" s="13"/>
      <c r="AD2" s="13"/>
    </row>
    <row r="3" spans="1:30" s="1" customFormat="1" ht="16.5" customHeight="1" x14ac:dyDescent="0.25">
      <c r="A3" s="14" t="s">
        <v>14</v>
      </c>
      <c r="B3" s="14"/>
      <c r="C3" s="11"/>
      <c r="D3" s="3" t="s">
        <v>31</v>
      </c>
      <c r="E3" s="14"/>
      <c r="F3" s="11"/>
      <c r="G3" s="3"/>
      <c r="H3" s="14"/>
      <c r="I3" s="11"/>
      <c r="J3" s="3"/>
      <c r="K3" s="14"/>
      <c r="L3" s="11"/>
      <c r="M3" s="3"/>
      <c r="N3" s="14"/>
      <c r="O3" s="11"/>
      <c r="P3" s="3"/>
      <c r="T3" s="13"/>
      <c r="X3" s="13"/>
      <c r="Y3" s="13"/>
      <c r="Z3" s="13"/>
      <c r="AA3" s="13"/>
      <c r="AB3" s="13"/>
      <c r="AC3" s="13"/>
      <c r="AD3" s="13"/>
    </row>
    <row r="4" spans="1:30" s="1" customFormat="1" ht="16.5" customHeight="1" x14ac:dyDescent="0.2">
      <c r="A4" s="14" t="s">
        <v>13</v>
      </c>
      <c r="B4" s="14"/>
      <c r="C4" s="14"/>
      <c r="D4" s="20"/>
      <c r="E4" s="14"/>
      <c r="F4" s="14"/>
      <c r="G4" s="20"/>
      <c r="H4" s="14"/>
      <c r="I4" s="14"/>
      <c r="J4" s="20"/>
      <c r="K4" s="14"/>
      <c r="L4" s="14"/>
      <c r="M4" s="20"/>
      <c r="N4" s="14"/>
      <c r="O4" s="14"/>
      <c r="P4" s="20"/>
      <c r="T4" s="13"/>
      <c r="X4" s="13"/>
      <c r="Y4" s="13"/>
      <c r="Z4" s="13"/>
      <c r="AA4" s="13"/>
      <c r="AB4" s="13"/>
      <c r="AC4" s="13"/>
      <c r="AD4" s="13"/>
    </row>
    <row r="5" spans="1:30" s="1" customFormat="1" x14ac:dyDescent="0.2">
      <c r="A5" s="24" t="s">
        <v>60</v>
      </c>
      <c r="B5" s="15"/>
      <c r="C5" s="15"/>
      <c r="D5" s="20"/>
      <c r="E5" s="15"/>
      <c r="F5" s="15"/>
      <c r="G5" s="20"/>
      <c r="H5" s="15"/>
      <c r="I5" s="15"/>
      <c r="J5" s="20"/>
      <c r="K5" s="15"/>
      <c r="L5" s="15"/>
      <c r="M5" s="20"/>
      <c r="N5" s="15"/>
      <c r="O5" s="15"/>
      <c r="P5" s="20"/>
      <c r="T5" s="13"/>
      <c r="X5" s="13"/>
      <c r="Y5" s="13"/>
      <c r="Z5" s="13"/>
      <c r="AA5" s="13"/>
      <c r="AB5" s="13"/>
      <c r="AC5" s="13"/>
      <c r="AD5" s="13"/>
    </row>
    <row r="6" spans="1:30" s="1" customFormat="1" ht="43.5" customHeight="1" x14ac:dyDescent="0.2">
      <c r="A6" s="53" t="s">
        <v>12</v>
      </c>
      <c r="B6" s="52" t="s">
        <v>10</v>
      </c>
      <c r="C6" s="38" t="s">
        <v>11</v>
      </c>
      <c r="D6" s="51" t="s">
        <v>54</v>
      </c>
      <c r="E6" s="52" t="s">
        <v>10</v>
      </c>
      <c r="F6" s="42" t="s">
        <v>11</v>
      </c>
      <c r="G6" s="54" t="s">
        <v>54</v>
      </c>
      <c r="H6" s="52" t="s">
        <v>10</v>
      </c>
      <c r="I6" s="42" t="s">
        <v>11</v>
      </c>
      <c r="J6" s="54" t="s">
        <v>54</v>
      </c>
      <c r="K6" s="52" t="s">
        <v>10</v>
      </c>
      <c r="L6" s="42" t="s">
        <v>11</v>
      </c>
      <c r="M6" s="51" t="s">
        <v>54</v>
      </c>
      <c r="N6" s="52" t="s">
        <v>10</v>
      </c>
      <c r="O6" s="42" t="s">
        <v>11</v>
      </c>
      <c r="P6" s="51" t="s">
        <v>54</v>
      </c>
      <c r="Q6" s="53" t="s">
        <v>12</v>
      </c>
      <c r="R6" s="52" t="s">
        <v>10</v>
      </c>
      <c r="S6" s="38" t="s">
        <v>11</v>
      </c>
      <c r="T6" s="51" t="s">
        <v>54</v>
      </c>
      <c r="U6" s="52" t="s">
        <v>10</v>
      </c>
      <c r="V6" s="42" t="s">
        <v>11</v>
      </c>
      <c r="W6" s="51" t="s">
        <v>54</v>
      </c>
    </row>
    <row r="7" spans="1:30" s="4" customFormat="1" ht="71.25" customHeight="1" x14ac:dyDescent="0.2">
      <c r="A7" s="53"/>
      <c r="B7" s="52"/>
      <c r="C7" s="52" t="s">
        <v>39</v>
      </c>
      <c r="D7" s="51"/>
      <c r="E7" s="52"/>
      <c r="F7" s="52" t="s">
        <v>39</v>
      </c>
      <c r="G7" s="55"/>
      <c r="H7" s="52"/>
      <c r="I7" s="52" t="s">
        <v>39</v>
      </c>
      <c r="J7" s="55"/>
      <c r="K7" s="52"/>
      <c r="L7" s="52" t="s">
        <v>39</v>
      </c>
      <c r="M7" s="51"/>
      <c r="N7" s="52"/>
      <c r="O7" s="52" t="s">
        <v>39</v>
      </c>
      <c r="P7" s="51"/>
      <c r="Q7" s="53"/>
      <c r="R7" s="52"/>
      <c r="S7" s="52" t="s">
        <v>53</v>
      </c>
      <c r="T7" s="51"/>
      <c r="U7" s="52"/>
      <c r="V7" s="52" t="s">
        <v>53</v>
      </c>
      <c r="W7" s="51"/>
    </row>
    <row r="8" spans="1:30" s="4" customFormat="1" ht="22.5" customHeight="1" x14ac:dyDescent="0.2">
      <c r="A8" s="53"/>
      <c r="B8" s="52"/>
      <c r="C8" s="52"/>
      <c r="D8" s="22" t="s">
        <v>55</v>
      </c>
      <c r="E8" s="52"/>
      <c r="F8" s="52"/>
      <c r="G8" s="50" t="s">
        <v>56</v>
      </c>
      <c r="H8" s="52"/>
      <c r="I8" s="52"/>
      <c r="J8" s="22" t="s">
        <v>57</v>
      </c>
      <c r="K8" s="52"/>
      <c r="L8" s="52"/>
      <c r="M8" s="22" t="s">
        <v>58</v>
      </c>
      <c r="N8" s="52"/>
      <c r="O8" s="52"/>
      <c r="P8" s="22" t="s">
        <v>59</v>
      </c>
      <c r="Q8" s="53"/>
      <c r="R8" s="52"/>
      <c r="S8" s="52"/>
      <c r="T8" s="22" t="s">
        <v>62</v>
      </c>
      <c r="U8" s="52"/>
      <c r="V8" s="52"/>
      <c r="W8" s="22" t="s">
        <v>61</v>
      </c>
    </row>
    <row r="9" spans="1:30" s="1" customFormat="1" ht="12.75" customHeight="1" x14ac:dyDescent="0.2">
      <c r="A9" s="26" t="s">
        <v>9</v>
      </c>
      <c r="B9" s="27"/>
      <c r="C9" s="28">
        <f>SUM(C10:C11)</f>
        <v>1.17</v>
      </c>
      <c r="D9" s="6">
        <f t="shared" ref="D9:P9" si="0">SUM(D10:D13)</f>
        <v>7268.5079999999998</v>
      </c>
      <c r="E9" s="27"/>
      <c r="F9" s="28">
        <f>SUM(F10:F11)</f>
        <v>1.17</v>
      </c>
      <c r="G9" s="6">
        <f t="shared" si="0"/>
        <v>6841.692</v>
      </c>
      <c r="H9" s="27"/>
      <c r="I9" s="28">
        <f>SUM(I10:I11)</f>
        <v>1.17</v>
      </c>
      <c r="J9" s="6">
        <f t="shared" si="0"/>
        <v>9986.6519999999982</v>
      </c>
      <c r="K9" s="27"/>
      <c r="L9" s="28">
        <f>SUM(L10:L11)</f>
        <v>1.17</v>
      </c>
      <c r="M9" s="6">
        <f t="shared" si="0"/>
        <v>5812.5599999999995</v>
      </c>
      <c r="N9" s="27"/>
      <c r="O9" s="28">
        <f>SUM(O10:O11)</f>
        <v>1.17</v>
      </c>
      <c r="P9" s="6">
        <f t="shared" si="0"/>
        <v>10285.704</v>
      </c>
      <c r="Q9" s="26" t="s">
        <v>9</v>
      </c>
      <c r="R9" s="27"/>
      <c r="S9" s="28">
        <f>SUM(S10:S11)</f>
        <v>0</v>
      </c>
      <c r="T9" s="6">
        <f t="shared" ref="T9" si="1">SUM(T10:T13)</f>
        <v>0</v>
      </c>
      <c r="U9" s="27"/>
      <c r="V9" s="28">
        <f>SUM(V10:V11)</f>
        <v>0</v>
      </c>
      <c r="W9" s="6">
        <f>SUM(W10:W13)</f>
        <v>0</v>
      </c>
    </row>
    <row r="10" spans="1:30" s="1" customFormat="1" ht="12.75" customHeight="1" x14ac:dyDescent="0.2">
      <c r="A10" s="31" t="s">
        <v>17</v>
      </c>
      <c r="B10" s="27" t="s">
        <v>40</v>
      </c>
      <c r="C10" s="27">
        <v>0.99</v>
      </c>
      <c r="D10" s="12">
        <f>$C$10*D35*12</f>
        <v>6150.2759999999998</v>
      </c>
      <c r="E10" s="27" t="s">
        <v>40</v>
      </c>
      <c r="F10" s="27">
        <v>0.99</v>
      </c>
      <c r="G10" s="12">
        <f t="shared" ref="G10:P10" si="2">$C$10*G35*12</f>
        <v>5789.1239999999998</v>
      </c>
      <c r="H10" s="27" t="s">
        <v>40</v>
      </c>
      <c r="I10" s="27">
        <v>0.99</v>
      </c>
      <c r="J10" s="12">
        <f t="shared" si="2"/>
        <v>8450.2439999999988</v>
      </c>
      <c r="K10" s="27" t="s">
        <v>40</v>
      </c>
      <c r="L10" s="27">
        <v>0.99</v>
      </c>
      <c r="M10" s="12">
        <f t="shared" si="2"/>
        <v>4918.32</v>
      </c>
      <c r="N10" s="27" t="s">
        <v>40</v>
      </c>
      <c r="O10" s="27">
        <v>0.99</v>
      </c>
      <c r="P10" s="12">
        <f t="shared" si="2"/>
        <v>8703.2880000000005</v>
      </c>
      <c r="Q10" s="31" t="s">
        <v>17</v>
      </c>
      <c r="R10" s="27" t="s">
        <v>40</v>
      </c>
      <c r="S10" s="27">
        <v>0</v>
      </c>
      <c r="T10" s="12">
        <f>$S$10*T35*12</f>
        <v>0</v>
      </c>
      <c r="U10" s="27" t="s">
        <v>40</v>
      </c>
      <c r="V10" s="27">
        <v>0</v>
      </c>
      <c r="W10" s="12">
        <f>$S$10*W35*12</f>
        <v>0</v>
      </c>
    </row>
    <row r="11" spans="1:30" s="1" customFormat="1" ht="28.5" customHeight="1" x14ac:dyDescent="0.2">
      <c r="A11" s="29" t="s">
        <v>21</v>
      </c>
      <c r="B11" s="27" t="s">
        <v>41</v>
      </c>
      <c r="C11" s="27">
        <v>0.18</v>
      </c>
      <c r="D11" s="12">
        <f>$C$11*D35*12</f>
        <v>1118.232</v>
      </c>
      <c r="E11" s="27" t="s">
        <v>41</v>
      </c>
      <c r="F11" s="27">
        <v>0.18</v>
      </c>
      <c r="G11" s="12">
        <f t="shared" ref="G11:P11" si="3">$C$11*G35*12</f>
        <v>1052.568</v>
      </c>
      <c r="H11" s="27" t="s">
        <v>41</v>
      </c>
      <c r="I11" s="27">
        <v>0.18</v>
      </c>
      <c r="J11" s="12">
        <f t="shared" si="3"/>
        <v>1536.4079999999999</v>
      </c>
      <c r="K11" s="27" t="s">
        <v>41</v>
      </c>
      <c r="L11" s="27">
        <v>0.18</v>
      </c>
      <c r="M11" s="12">
        <f t="shared" si="3"/>
        <v>894.24</v>
      </c>
      <c r="N11" s="27" t="s">
        <v>41</v>
      </c>
      <c r="O11" s="27">
        <v>0.18</v>
      </c>
      <c r="P11" s="12">
        <f t="shared" si="3"/>
        <v>1582.4159999999999</v>
      </c>
      <c r="Q11" s="29" t="s">
        <v>21</v>
      </c>
      <c r="R11" s="27" t="s">
        <v>41</v>
      </c>
      <c r="S11" s="27">
        <v>0</v>
      </c>
      <c r="T11" s="12">
        <f>$S$11*T35*12</f>
        <v>0</v>
      </c>
      <c r="U11" s="27" t="s">
        <v>41</v>
      </c>
      <c r="V11" s="27">
        <v>0</v>
      </c>
      <c r="W11" s="12">
        <f>$S$11*W35*12</f>
        <v>0</v>
      </c>
    </row>
    <row r="12" spans="1:30" s="13" customFormat="1" x14ac:dyDescent="0.2">
      <c r="A12" s="31"/>
      <c r="B12" s="27"/>
      <c r="C12" s="27"/>
      <c r="D12" s="12"/>
      <c r="E12" s="27"/>
      <c r="F12" s="27"/>
      <c r="G12" s="12"/>
      <c r="H12" s="27"/>
      <c r="I12" s="27"/>
      <c r="J12" s="12"/>
      <c r="K12" s="27"/>
      <c r="L12" s="27"/>
      <c r="M12" s="12"/>
      <c r="N12" s="27"/>
      <c r="O12" s="27"/>
      <c r="P12" s="12"/>
      <c r="Q12" s="31"/>
      <c r="R12" s="27"/>
      <c r="S12" s="27"/>
      <c r="T12" s="12"/>
      <c r="U12" s="27"/>
      <c r="V12" s="27"/>
      <c r="W12" s="12"/>
    </row>
    <row r="13" spans="1:30" s="13" customFormat="1" x14ac:dyDescent="0.2">
      <c r="A13" s="31"/>
      <c r="B13" s="27"/>
      <c r="C13" s="27"/>
      <c r="D13" s="12"/>
      <c r="E13" s="27"/>
      <c r="F13" s="27"/>
      <c r="G13" s="12"/>
      <c r="H13" s="27"/>
      <c r="I13" s="27"/>
      <c r="J13" s="12"/>
      <c r="K13" s="27"/>
      <c r="L13" s="27"/>
      <c r="M13" s="12"/>
      <c r="N13" s="27"/>
      <c r="O13" s="27"/>
      <c r="P13" s="12"/>
      <c r="Q13" s="31"/>
      <c r="R13" s="27"/>
      <c r="S13" s="27"/>
      <c r="T13" s="12"/>
      <c r="U13" s="27"/>
      <c r="V13" s="27"/>
      <c r="W13" s="12"/>
    </row>
    <row r="14" spans="1:30" s="13" customFormat="1" ht="37.5" customHeight="1" x14ac:dyDescent="0.2">
      <c r="A14" s="30" t="s">
        <v>8</v>
      </c>
      <c r="B14" s="27"/>
      <c r="C14" s="28">
        <f>SUM(C15:C21)</f>
        <v>6.7400000000000011</v>
      </c>
      <c r="D14" s="16">
        <f>SUM(D15:D21)</f>
        <v>41871.576000000001</v>
      </c>
      <c r="E14" s="27"/>
      <c r="F14" s="28">
        <f>SUM(F15:F21)</f>
        <v>4.8000000000000007</v>
      </c>
      <c r="G14" s="16">
        <f t="shared" ref="G14:P14" si="4">SUM(G15:G21)</f>
        <v>28068.480000000003</v>
      </c>
      <c r="H14" s="27"/>
      <c r="I14" s="28">
        <f>SUM(I15:I21)</f>
        <v>6.71</v>
      </c>
      <c r="J14" s="16">
        <f t="shared" si="4"/>
        <v>57273.875999999997</v>
      </c>
      <c r="K14" s="27"/>
      <c r="L14" s="28">
        <f>SUM(L15:L21)</f>
        <v>6.6300000000000008</v>
      </c>
      <c r="M14" s="16">
        <f t="shared" si="4"/>
        <v>32937.839999999997</v>
      </c>
      <c r="N14" s="27"/>
      <c r="O14" s="28">
        <f>SUM(O15:O21)</f>
        <v>6.8800000000000008</v>
      </c>
      <c r="P14" s="16">
        <f t="shared" si="4"/>
        <v>60483.456000000006</v>
      </c>
      <c r="Q14" s="30" t="s">
        <v>8</v>
      </c>
      <c r="R14" s="27"/>
      <c r="S14" s="28">
        <f>SUM(S15:S21)</f>
        <v>3.93</v>
      </c>
      <c r="T14" s="16">
        <f>SUM(T15:T21)</f>
        <v>34374.923999999999</v>
      </c>
      <c r="U14" s="27"/>
      <c r="V14" s="28">
        <f>SUM(V15:V21)</f>
        <v>6.79</v>
      </c>
      <c r="W14" s="16">
        <f>SUM(W15:W21)</f>
        <v>50110.200000000004</v>
      </c>
    </row>
    <row r="15" spans="1:30" s="13" customFormat="1" ht="24" x14ac:dyDescent="0.2">
      <c r="A15" s="31" t="s">
        <v>42</v>
      </c>
      <c r="B15" s="49" t="s">
        <v>64</v>
      </c>
      <c r="C15" s="27">
        <f>0.21+0.5</f>
        <v>0.71</v>
      </c>
      <c r="D15" s="12">
        <f>$C$15*12*D35</f>
        <v>4410.8040000000001</v>
      </c>
      <c r="E15" s="49" t="s">
        <v>64</v>
      </c>
      <c r="F15" s="27">
        <f>0.21+0.15</f>
        <v>0.36</v>
      </c>
      <c r="G15" s="12">
        <f>F15*12*G35</f>
        <v>2105.136</v>
      </c>
      <c r="H15" s="49" t="s">
        <v>64</v>
      </c>
      <c r="I15" s="27">
        <f>0.21+0.56</f>
        <v>0.77</v>
      </c>
      <c r="J15" s="12">
        <f>I15*12*J35</f>
        <v>6572.4119999999994</v>
      </c>
      <c r="K15" s="49" t="s">
        <v>64</v>
      </c>
      <c r="L15" s="27">
        <f>0.21+0.48</f>
        <v>0.69</v>
      </c>
      <c r="M15" s="12">
        <f>L15*12*M35</f>
        <v>3427.9199999999996</v>
      </c>
      <c r="N15" s="49" t="s">
        <v>64</v>
      </c>
      <c r="O15" s="27">
        <f>0.21+0.79</f>
        <v>1</v>
      </c>
      <c r="P15" s="12">
        <f>O15*12*P35</f>
        <v>8791.2000000000007</v>
      </c>
      <c r="Q15" s="31" t="s">
        <v>42</v>
      </c>
      <c r="R15" s="27" t="s">
        <v>18</v>
      </c>
      <c r="S15" s="27">
        <v>0.21</v>
      </c>
      <c r="T15" s="12">
        <f>$S$15*12*T35</f>
        <v>1836.828</v>
      </c>
      <c r="U15" s="49" t="s">
        <v>64</v>
      </c>
      <c r="V15" s="27">
        <f>0.21+0.54</f>
        <v>0.75</v>
      </c>
      <c r="W15" s="12">
        <f>V15*12*W35</f>
        <v>5535</v>
      </c>
    </row>
    <row r="16" spans="1:30" s="13" customFormat="1" x14ac:dyDescent="0.2">
      <c r="A16" s="31" t="s">
        <v>22</v>
      </c>
      <c r="B16" s="48" t="s">
        <v>7</v>
      </c>
      <c r="C16" s="27">
        <v>0.49</v>
      </c>
      <c r="D16" s="12">
        <f>$C$16*12*D35</f>
        <v>3044.076</v>
      </c>
      <c r="E16" s="48" t="s">
        <v>7</v>
      </c>
      <c r="F16" s="27">
        <v>0.49</v>
      </c>
      <c r="G16" s="12">
        <f t="shared" ref="G16:P16" si="5">$C$16*12*G35</f>
        <v>2865.3240000000001</v>
      </c>
      <c r="H16" s="48" t="s">
        <v>7</v>
      </c>
      <c r="I16" s="27">
        <v>0.49</v>
      </c>
      <c r="J16" s="12">
        <f t="shared" si="5"/>
        <v>4182.4439999999995</v>
      </c>
      <c r="K16" s="48" t="s">
        <v>7</v>
      </c>
      <c r="L16" s="27">
        <v>0.49</v>
      </c>
      <c r="M16" s="12">
        <f t="shared" si="5"/>
        <v>2434.3200000000002</v>
      </c>
      <c r="N16" s="48" t="s">
        <v>7</v>
      </c>
      <c r="O16" s="27">
        <v>0.49</v>
      </c>
      <c r="P16" s="12">
        <f t="shared" si="5"/>
        <v>4307.6880000000001</v>
      </c>
      <c r="Q16" s="31" t="s">
        <v>22</v>
      </c>
      <c r="R16" s="27" t="s">
        <v>7</v>
      </c>
      <c r="S16" s="27">
        <v>0.49</v>
      </c>
      <c r="T16" s="12">
        <f>$S$16*12*T35</f>
        <v>4285.9319999999998</v>
      </c>
      <c r="U16" s="48" t="s">
        <v>7</v>
      </c>
      <c r="V16" s="27">
        <v>0.49</v>
      </c>
      <c r="W16" s="12">
        <f>$S$16*12*W35</f>
        <v>3616.2</v>
      </c>
    </row>
    <row r="17" spans="1:27" s="13" customFormat="1" x14ac:dyDescent="0.2">
      <c r="A17" s="31" t="s">
        <v>23</v>
      </c>
      <c r="B17" s="48" t="s">
        <v>65</v>
      </c>
      <c r="C17" s="27">
        <f>0.37+1.21</f>
        <v>1.58</v>
      </c>
      <c r="D17" s="12">
        <f>$C$17*12*D35</f>
        <v>9815.5920000000006</v>
      </c>
      <c r="E17" s="48" t="s">
        <v>65</v>
      </c>
      <c r="F17" s="27">
        <f>0.37+0.38</f>
        <v>0.75</v>
      </c>
      <c r="G17" s="12">
        <f>F17*12*G35</f>
        <v>4385.7</v>
      </c>
      <c r="H17" s="48" t="s">
        <v>65</v>
      </c>
      <c r="I17" s="27">
        <f>0.37+1.13</f>
        <v>1.5</v>
      </c>
      <c r="J17" s="12">
        <f>I17*12*J35</f>
        <v>12803.4</v>
      </c>
      <c r="K17" s="48" t="s">
        <v>65</v>
      </c>
      <c r="L17" s="27">
        <f>0.37+1.16</f>
        <v>1.5299999999999998</v>
      </c>
      <c r="M17" s="12">
        <f>L17*12*M35</f>
        <v>7601.04</v>
      </c>
      <c r="N17" s="48" t="s">
        <v>65</v>
      </c>
      <c r="O17" s="27">
        <f>0.37+1.12</f>
        <v>1.4900000000000002</v>
      </c>
      <c r="P17" s="12">
        <f>O17*12*P35</f>
        <v>13098.888000000003</v>
      </c>
      <c r="Q17" s="31" t="s">
        <v>23</v>
      </c>
      <c r="R17" s="27" t="s">
        <v>19</v>
      </c>
      <c r="S17" s="27">
        <v>0.37</v>
      </c>
      <c r="T17" s="12">
        <f>$S$17*12*T35</f>
        <v>3236.3159999999993</v>
      </c>
      <c r="U17" s="48" t="s">
        <v>65</v>
      </c>
      <c r="V17" s="27">
        <f>0.37+1.2</f>
        <v>1.5699999999999998</v>
      </c>
      <c r="W17" s="12">
        <f>V17*12*W35</f>
        <v>11586.599999999999</v>
      </c>
    </row>
    <row r="18" spans="1:27" s="13" customFormat="1" ht="57.75" customHeight="1" x14ac:dyDescent="0.2">
      <c r="A18" s="32" t="s">
        <v>24</v>
      </c>
      <c r="B18" s="49" t="s">
        <v>6</v>
      </c>
      <c r="C18" s="27">
        <f>0.3+1.1</f>
        <v>1.4000000000000001</v>
      </c>
      <c r="D18" s="12">
        <f>$C$18*12*D35</f>
        <v>8697.36</v>
      </c>
      <c r="E18" s="49" t="s">
        <v>6</v>
      </c>
      <c r="F18" s="27">
        <f>0.3+0.34</f>
        <v>0.64</v>
      </c>
      <c r="G18" s="12">
        <f>F18*12*G35</f>
        <v>3742.4639999999999</v>
      </c>
      <c r="H18" s="49" t="s">
        <v>6</v>
      </c>
      <c r="I18" s="27">
        <f>0.3+1.03</f>
        <v>1.33</v>
      </c>
      <c r="J18" s="12">
        <f>I18*12*J35</f>
        <v>11352.348</v>
      </c>
      <c r="K18" s="49" t="s">
        <v>6</v>
      </c>
      <c r="L18" s="27">
        <f>0.3+1.06</f>
        <v>1.36</v>
      </c>
      <c r="M18" s="12">
        <f>L18*12*M35</f>
        <v>6756.4800000000005</v>
      </c>
      <c r="N18" s="49" t="s">
        <v>6</v>
      </c>
      <c r="O18" s="27">
        <f>0.3+1.02</f>
        <v>1.32</v>
      </c>
      <c r="P18" s="12">
        <f>O18*12*P35</f>
        <v>11604.384</v>
      </c>
      <c r="Q18" s="32" t="s">
        <v>24</v>
      </c>
      <c r="R18" s="33" t="s">
        <v>6</v>
      </c>
      <c r="S18" s="27">
        <v>0.3</v>
      </c>
      <c r="T18" s="12">
        <f>$S$18*12*T35</f>
        <v>2624.0399999999995</v>
      </c>
      <c r="U18" s="49" t="s">
        <v>6</v>
      </c>
      <c r="V18" s="27">
        <f>0.3+1.09</f>
        <v>1.3900000000000001</v>
      </c>
      <c r="W18" s="12">
        <f>V18*12*W35</f>
        <v>10258.200000000001</v>
      </c>
    </row>
    <row r="19" spans="1:27" s="13" customFormat="1" ht="38.25" customHeight="1" x14ac:dyDescent="0.2">
      <c r="A19" s="29" t="s">
        <v>25</v>
      </c>
      <c r="B19" s="48" t="s">
        <v>66</v>
      </c>
      <c r="C19" s="27">
        <v>7.0000000000000007E-2</v>
      </c>
      <c r="D19" s="12">
        <f>$C$19*12*D35</f>
        <v>434.86800000000005</v>
      </c>
      <c r="E19" s="48" t="s">
        <v>66</v>
      </c>
      <c r="F19" s="27">
        <v>7.0000000000000007E-2</v>
      </c>
      <c r="G19" s="12">
        <f t="shared" ref="G19:P19" si="6">$C$19*12*G35</f>
        <v>409.33200000000005</v>
      </c>
      <c r="H19" s="48" t="s">
        <v>66</v>
      </c>
      <c r="I19" s="27">
        <v>7.0000000000000007E-2</v>
      </c>
      <c r="J19" s="12">
        <f t="shared" si="6"/>
        <v>597.49199999999996</v>
      </c>
      <c r="K19" s="48" t="s">
        <v>66</v>
      </c>
      <c r="L19" s="27">
        <v>7.0000000000000007E-2</v>
      </c>
      <c r="M19" s="12">
        <f t="shared" si="6"/>
        <v>347.76000000000005</v>
      </c>
      <c r="N19" s="48" t="s">
        <v>66</v>
      </c>
      <c r="O19" s="27">
        <v>7.0000000000000007E-2</v>
      </c>
      <c r="P19" s="12">
        <f t="shared" si="6"/>
        <v>615.38400000000013</v>
      </c>
      <c r="Q19" s="29" t="s">
        <v>25</v>
      </c>
      <c r="R19" s="27" t="s">
        <v>43</v>
      </c>
      <c r="S19" s="27">
        <v>7.0000000000000007E-2</v>
      </c>
      <c r="T19" s="12">
        <f>$S$19*12*T35</f>
        <v>612.27600000000007</v>
      </c>
      <c r="U19" s="48" t="s">
        <v>66</v>
      </c>
      <c r="V19" s="27">
        <v>7.0000000000000007E-2</v>
      </c>
      <c r="W19" s="12">
        <f>$S$19*12*W35</f>
        <v>516.6</v>
      </c>
    </row>
    <row r="20" spans="1:27" s="13" customFormat="1" x14ac:dyDescent="0.2">
      <c r="A20" s="31" t="s">
        <v>26</v>
      </c>
      <c r="B20" s="49" t="s">
        <v>44</v>
      </c>
      <c r="C20" s="27">
        <v>2.4900000000000002</v>
      </c>
      <c r="D20" s="12">
        <f>$C$20*12*D35</f>
        <v>15468.876000000002</v>
      </c>
      <c r="E20" s="49" t="s">
        <v>44</v>
      </c>
      <c r="F20" s="27">
        <v>2.4900000000000002</v>
      </c>
      <c r="G20" s="12">
        <f t="shared" ref="G20:P20" si="7">$C$20*12*G35</f>
        <v>14560.524000000001</v>
      </c>
      <c r="H20" s="49" t="s">
        <v>44</v>
      </c>
      <c r="I20" s="27">
        <v>2.4900000000000002</v>
      </c>
      <c r="J20" s="12">
        <f t="shared" si="7"/>
        <v>21253.644</v>
      </c>
      <c r="K20" s="49" t="s">
        <v>44</v>
      </c>
      <c r="L20" s="27">
        <v>2.4900000000000002</v>
      </c>
      <c r="M20" s="12">
        <f t="shared" si="7"/>
        <v>12370.320000000002</v>
      </c>
      <c r="N20" s="49" t="s">
        <v>44</v>
      </c>
      <c r="O20" s="27">
        <v>2.4900000000000002</v>
      </c>
      <c r="P20" s="12">
        <f t="shared" si="7"/>
        <v>21890.088000000003</v>
      </c>
      <c r="Q20" s="31" t="s">
        <v>26</v>
      </c>
      <c r="R20" s="33" t="s">
        <v>44</v>
      </c>
      <c r="S20" s="27">
        <v>2.4900000000000002</v>
      </c>
      <c r="T20" s="12">
        <f>$S$20*12*T35</f>
        <v>21779.532000000003</v>
      </c>
      <c r="U20" s="49" t="s">
        <v>44</v>
      </c>
      <c r="V20" s="27">
        <v>2.4900000000000002</v>
      </c>
      <c r="W20" s="12">
        <f>$S$20*12*W35</f>
        <v>18376.2</v>
      </c>
    </row>
    <row r="21" spans="1:27" s="13" customFormat="1" ht="27.75" customHeight="1" x14ac:dyDescent="0.2">
      <c r="A21" s="31" t="s">
        <v>63</v>
      </c>
      <c r="B21" s="48"/>
      <c r="C21" s="27"/>
      <c r="D21" s="12"/>
      <c r="E21" s="48"/>
      <c r="F21" s="27"/>
      <c r="G21" s="12"/>
      <c r="H21" s="48" t="s">
        <v>66</v>
      </c>
      <c r="I21" s="27">
        <v>0.06</v>
      </c>
      <c r="J21" s="12">
        <f>I21*12*J35</f>
        <v>512.13599999999997</v>
      </c>
      <c r="K21" s="48"/>
      <c r="L21" s="27"/>
      <c r="M21" s="12"/>
      <c r="N21" s="48"/>
      <c r="O21" s="27">
        <v>0.02</v>
      </c>
      <c r="P21" s="12">
        <f>O21*12*P35</f>
        <v>175.82400000000001</v>
      </c>
      <c r="Q21" s="31" t="s">
        <v>63</v>
      </c>
      <c r="R21" s="27"/>
      <c r="S21" s="27"/>
      <c r="T21" s="12"/>
      <c r="U21" s="48" t="s">
        <v>66</v>
      </c>
      <c r="V21" s="27">
        <v>0.03</v>
      </c>
      <c r="W21" s="12">
        <f>V21*12*W35</f>
        <v>221.4</v>
      </c>
    </row>
    <row r="22" spans="1:27" s="13" customFormat="1" ht="12.75" customHeight="1" x14ac:dyDescent="0.2">
      <c r="A22" s="30" t="s">
        <v>5</v>
      </c>
      <c r="B22" s="27"/>
      <c r="C22" s="34">
        <f>SUM(C23:C25)</f>
        <v>4.4799999999999995</v>
      </c>
      <c r="D22" s="17">
        <f>SUM(D23:D25)</f>
        <v>27831.552000000003</v>
      </c>
      <c r="E22" s="27"/>
      <c r="F22" s="34">
        <f>SUM(F23:F25)</f>
        <v>4.4799999999999995</v>
      </c>
      <c r="G22" s="17">
        <f t="shared" ref="G22:P22" si="8">SUM(G23:G25)</f>
        <v>26197.248</v>
      </c>
      <c r="H22" s="27"/>
      <c r="I22" s="34">
        <f>SUM(I23:I25)</f>
        <v>4.4799999999999995</v>
      </c>
      <c r="J22" s="17">
        <f t="shared" si="8"/>
        <v>38239.487999999998</v>
      </c>
      <c r="K22" s="27"/>
      <c r="L22" s="34">
        <f>SUM(L23:L25)</f>
        <v>4.4799999999999995</v>
      </c>
      <c r="M22" s="17">
        <f t="shared" si="8"/>
        <v>22256.639999999999</v>
      </c>
      <c r="N22" s="27"/>
      <c r="O22" s="34">
        <f>SUM(O23:O25)</f>
        <v>4.4799999999999995</v>
      </c>
      <c r="P22" s="17">
        <f t="shared" si="8"/>
        <v>39384.576000000001</v>
      </c>
      <c r="Q22" s="30" t="s">
        <v>5</v>
      </c>
      <c r="R22" s="27"/>
      <c r="S22" s="34">
        <f>SUM(S23:S25)</f>
        <v>3.84</v>
      </c>
      <c r="T22" s="17">
        <f>SUM(T23:T25)</f>
        <v>33587.711999999992</v>
      </c>
      <c r="U22" s="27"/>
      <c r="V22" s="34">
        <f>SUM(V23:V25)</f>
        <v>3.84</v>
      </c>
      <c r="W22" s="17">
        <f>SUM(W23:W25)</f>
        <v>28339.200000000001</v>
      </c>
    </row>
    <row r="23" spans="1:27" s="13" customFormat="1" ht="39.75" customHeight="1" x14ac:dyDescent="0.2">
      <c r="A23" s="29" t="s">
        <v>32</v>
      </c>
      <c r="B23" s="27" t="s">
        <v>1</v>
      </c>
      <c r="C23" s="27">
        <v>1.1299999999999999</v>
      </c>
      <c r="D23" s="12">
        <f>$C$23*D35*12</f>
        <v>7020.0119999999997</v>
      </c>
      <c r="E23" s="27" t="s">
        <v>1</v>
      </c>
      <c r="F23" s="27">
        <v>1.1299999999999999</v>
      </c>
      <c r="G23" s="12">
        <f t="shared" ref="G23:P23" si="9">$C$23*G35*12</f>
        <v>6607.7880000000005</v>
      </c>
      <c r="H23" s="27" t="s">
        <v>1</v>
      </c>
      <c r="I23" s="27">
        <v>1.1299999999999999</v>
      </c>
      <c r="J23" s="12">
        <f t="shared" si="9"/>
        <v>9645.2279999999992</v>
      </c>
      <c r="K23" s="27" t="s">
        <v>1</v>
      </c>
      <c r="L23" s="27">
        <v>1.1299999999999999</v>
      </c>
      <c r="M23" s="12">
        <f t="shared" si="9"/>
        <v>5613.8399999999992</v>
      </c>
      <c r="N23" s="27" t="s">
        <v>1</v>
      </c>
      <c r="O23" s="27">
        <v>1.1299999999999999</v>
      </c>
      <c r="P23" s="12">
        <f t="shared" si="9"/>
        <v>9934.0560000000005</v>
      </c>
      <c r="Q23" s="29" t="s">
        <v>32</v>
      </c>
      <c r="R23" s="27" t="s">
        <v>1</v>
      </c>
      <c r="S23" s="27">
        <v>1.1299999999999999</v>
      </c>
      <c r="T23" s="12">
        <f>$S$23*T35*12</f>
        <v>9883.8839999999982</v>
      </c>
      <c r="U23" s="27" t="s">
        <v>1</v>
      </c>
      <c r="V23" s="27">
        <v>1.1299999999999999</v>
      </c>
      <c r="W23" s="12">
        <f>$S$23*W35*12</f>
        <v>8339.4</v>
      </c>
    </row>
    <row r="24" spans="1:27" s="13" customFormat="1" ht="59.25" customHeight="1" x14ac:dyDescent="0.2">
      <c r="A24" s="29" t="s">
        <v>33</v>
      </c>
      <c r="B24" s="33" t="s">
        <v>4</v>
      </c>
      <c r="C24" s="27">
        <v>0.16</v>
      </c>
      <c r="D24" s="12">
        <f>$C$24*D35*12</f>
        <v>993.98400000000015</v>
      </c>
      <c r="E24" s="33" t="s">
        <v>4</v>
      </c>
      <c r="F24" s="27">
        <v>0.16</v>
      </c>
      <c r="G24" s="12">
        <f t="shared" ref="G24:P24" si="10">$C$24*G35*12</f>
        <v>935.61599999999999</v>
      </c>
      <c r="H24" s="33" t="s">
        <v>4</v>
      </c>
      <c r="I24" s="27">
        <v>0.16</v>
      </c>
      <c r="J24" s="12">
        <f t="shared" si="10"/>
        <v>1365.6959999999999</v>
      </c>
      <c r="K24" s="33" t="s">
        <v>4</v>
      </c>
      <c r="L24" s="27">
        <v>0.16</v>
      </c>
      <c r="M24" s="12">
        <f t="shared" si="10"/>
        <v>794.87999999999988</v>
      </c>
      <c r="N24" s="33" t="s">
        <v>4</v>
      </c>
      <c r="O24" s="27">
        <v>0.16</v>
      </c>
      <c r="P24" s="12">
        <f t="shared" si="10"/>
        <v>1406.5920000000001</v>
      </c>
      <c r="Q24" s="29" t="s">
        <v>33</v>
      </c>
      <c r="R24" s="33" t="s">
        <v>4</v>
      </c>
      <c r="S24" s="27">
        <v>0.16</v>
      </c>
      <c r="T24" s="12">
        <f>$S$24*T35*12</f>
        <v>1399.4879999999998</v>
      </c>
      <c r="U24" s="33" t="s">
        <v>4</v>
      </c>
      <c r="V24" s="27">
        <v>0.16</v>
      </c>
      <c r="W24" s="12">
        <f>$S$24*W35*12</f>
        <v>1180.8000000000002</v>
      </c>
    </row>
    <row r="25" spans="1:27" s="13" customFormat="1" ht="73.5" customHeight="1" x14ac:dyDescent="0.2">
      <c r="A25" s="29" t="s">
        <v>45</v>
      </c>
      <c r="B25" s="27" t="s">
        <v>3</v>
      </c>
      <c r="C25" s="27">
        <v>3.19</v>
      </c>
      <c r="D25" s="23">
        <f>$C$25*D35*12</f>
        <v>19817.556000000004</v>
      </c>
      <c r="E25" s="27" t="s">
        <v>3</v>
      </c>
      <c r="F25" s="27">
        <v>3.19</v>
      </c>
      <c r="G25" s="23">
        <f t="shared" ref="G25:P25" si="11">$C$25*G35*12</f>
        <v>18653.844000000001</v>
      </c>
      <c r="H25" s="27" t="s">
        <v>3</v>
      </c>
      <c r="I25" s="27">
        <v>3.19</v>
      </c>
      <c r="J25" s="23">
        <f t="shared" si="11"/>
        <v>27228.563999999998</v>
      </c>
      <c r="K25" s="27" t="s">
        <v>3</v>
      </c>
      <c r="L25" s="27">
        <v>3.19</v>
      </c>
      <c r="M25" s="23">
        <f t="shared" si="11"/>
        <v>15847.920000000002</v>
      </c>
      <c r="N25" s="27" t="s">
        <v>3</v>
      </c>
      <c r="O25" s="27">
        <v>3.19</v>
      </c>
      <c r="P25" s="23">
        <f t="shared" si="11"/>
        <v>28043.928</v>
      </c>
      <c r="Q25" s="29" t="s">
        <v>45</v>
      </c>
      <c r="R25" s="27" t="s">
        <v>3</v>
      </c>
      <c r="S25" s="27">
        <v>2.5499999999999998</v>
      </c>
      <c r="T25" s="23">
        <f>$S$25*T35*12</f>
        <v>22304.339999999997</v>
      </c>
      <c r="U25" s="27" t="s">
        <v>3</v>
      </c>
      <c r="V25" s="27">
        <v>2.5499999999999998</v>
      </c>
      <c r="W25" s="23">
        <f>$S$25*W35*12</f>
        <v>18819</v>
      </c>
    </row>
    <row r="26" spans="1:27" s="13" customFormat="1" ht="36" customHeight="1" x14ac:dyDescent="0.2">
      <c r="A26" s="26" t="s">
        <v>2</v>
      </c>
      <c r="B26" s="27"/>
      <c r="C26" s="34">
        <f>SUM(C27:C31)</f>
        <v>7.53</v>
      </c>
      <c r="D26" s="17">
        <f>SUM(D27:D31)</f>
        <v>46779.372000000003</v>
      </c>
      <c r="E26" s="27"/>
      <c r="F26" s="34">
        <f>SUM(F27:F31)</f>
        <v>7.53</v>
      </c>
      <c r="G26" s="17">
        <f t="shared" ref="G26:P26" si="12">SUM(G27:G31)</f>
        <v>44032.428</v>
      </c>
      <c r="H26" s="27"/>
      <c r="I26" s="34">
        <f>SUM(I27:I31)</f>
        <v>7.53</v>
      </c>
      <c r="J26" s="17">
        <f t="shared" si="12"/>
        <v>64273.067999999999</v>
      </c>
      <c r="K26" s="27"/>
      <c r="L26" s="34">
        <f>SUM(L27:L31)</f>
        <v>7.53</v>
      </c>
      <c r="M26" s="17">
        <f t="shared" si="12"/>
        <v>37409.040000000008</v>
      </c>
      <c r="N26" s="27"/>
      <c r="O26" s="34">
        <f>SUM(O27:O31)</f>
        <v>7.53</v>
      </c>
      <c r="P26" s="17">
        <f t="shared" si="12"/>
        <v>66197.736000000004</v>
      </c>
      <c r="Q26" s="26" t="s">
        <v>2</v>
      </c>
      <c r="R26" s="27"/>
      <c r="S26" s="34">
        <f>SUM(S27:S31)</f>
        <v>4.66</v>
      </c>
      <c r="T26" s="17">
        <f>SUM(T27:T31)</f>
        <v>40760.088000000003</v>
      </c>
      <c r="U26" s="27"/>
      <c r="V26" s="34">
        <f>SUM(V27:V31)</f>
        <v>4.66</v>
      </c>
      <c r="W26" s="17">
        <f>SUM(W27:W31)</f>
        <v>34390.799999999996</v>
      </c>
    </row>
    <row r="27" spans="1:27" s="13" customFormat="1" ht="101.25" customHeight="1" x14ac:dyDescent="0.2">
      <c r="A27" s="29" t="s">
        <v>46</v>
      </c>
      <c r="B27" s="33" t="s">
        <v>47</v>
      </c>
      <c r="C27" s="27">
        <v>3.15</v>
      </c>
      <c r="D27" s="12">
        <f>$C$27*12*D35</f>
        <v>19569.060000000001</v>
      </c>
      <c r="E27" s="33" t="s">
        <v>47</v>
      </c>
      <c r="F27" s="27">
        <v>3.15</v>
      </c>
      <c r="G27" s="12">
        <f t="shared" ref="G27:P27" si="13">$C$27*12*G35</f>
        <v>18419.939999999999</v>
      </c>
      <c r="H27" s="33" t="s">
        <v>47</v>
      </c>
      <c r="I27" s="27">
        <v>3.15</v>
      </c>
      <c r="J27" s="12">
        <f t="shared" si="13"/>
        <v>26887.139999999996</v>
      </c>
      <c r="K27" s="33" t="s">
        <v>47</v>
      </c>
      <c r="L27" s="27">
        <v>3.15</v>
      </c>
      <c r="M27" s="12">
        <f t="shared" si="13"/>
        <v>15649.199999999999</v>
      </c>
      <c r="N27" s="33" t="s">
        <v>47</v>
      </c>
      <c r="O27" s="27">
        <v>3.15</v>
      </c>
      <c r="P27" s="12">
        <f t="shared" si="13"/>
        <v>27692.28</v>
      </c>
      <c r="Q27" s="29" t="s">
        <v>46</v>
      </c>
      <c r="R27" s="33" t="s">
        <v>47</v>
      </c>
      <c r="S27" s="27">
        <v>2.63</v>
      </c>
      <c r="T27" s="12">
        <f>$S$27*12*T35</f>
        <v>23004.083999999999</v>
      </c>
      <c r="U27" s="33" t="s">
        <v>47</v>
      </c>
      <c r="V27" s="27">
        <v>2.63</v>
      </c>
      <c r="W27" s="12">
        <f>$S$27*12*W35</f>
        <v>19409.399999999998</v>
      </c>
    </row>
    <row r="28" spans="1:27" s="13" customFormat="1" ht="51" customHeight="1" x14ac:dyDescent="0.2">
      <c r="A28" s="31" t="s">
        <v>34</v>
      </c>
      <c r="B28" s="33" t="s">
        <v>48</v>
      </c>
      <c r="C28" s="27">
        <v>1.34</v>
      </c>
      <c r="D28" s="12">
        <f>$C$28*12*D35</f>
        <v>8324.6160000000018</v>
      </c>
      <c r="E28" s="33" t="s">
        <v>48</v>
      </c>
      <c r="F28" s="27">
        <v>1.34</v>
      </c>
      <c r="G28" s="12">
        <f t="shared" ref="G28:P28" si="14">$C$28*12*G35</f>
        <v>7835.7840000000015</v>
      </c>
      <c r="H28" s="33" t="s">
        <v>48</v>
      </c>
      <c r="I28" s="27">
        <v>1.34</v>
      </c>
      <c r="J28" s="12">
        <f t="shared" si="14"/>
        <v>11437.704</v>
      </c>
      <c r="K28" s="33" t="s">
        <v>48</v>
      </c>
      <c r="L28" s="27">
        <v>1.34</v>
      </c>
      <c r="M28" s="12">
        <f t="shared" si="14"/>
        <v>6657.1200000000008</v>
      </c>
      <c r="N28" s="33" t="s">
        <v>48</v>
      </c>
      <c r="O28" s="27">
        <v>1.34</v>
      </c>
      <c r="P28" s="12">
        <f t="shared" si="14"/>
        <v>11780.208000000002</v>
      </c>
      <c r="Q28" s="31" t="s">
        <v>34</v>
      </c>
      <c r="R28" s="33" t="s">
        <v>48</v>
      </c>
      <c r="S28" s="27">
        <v>1.34</v>
      </c>
      <c r="T28" s="12">
        <f>$S$28*12*T35</f>
        <v>11720.712000000001</v>
      </c>
      <c r="U28" s="33" t="s">
        <v>48</v>
      </c>
      <c r="V28" s="27">
        <v>1.34</v>
      </c>
      <c r="W28" s="12">
        <f>$S$28*12*W35</f>
        <v>9889.2000000000007</v>
      </c>
    </row>
    <row r="29" spans="1:27" s="13" customFormat="1" ht="24.75" customHeight="1" x14ac:dyDescent="0.2">
      <c r="A29" s="31" t="s">
        <v>35</v>
      </c>
      <c r="B29" s="33" t="s">
        <v>20</v>
      </c>
      <c r="C29" s="27">
        <v>2.35</v>
      </c>
      <c r="D29" s="25">
        <f>$C$29*12*D35</f>
        <v>14599.140000000003</v>
      </c>
      <c r="E29" s="33" t="s">
        <v>20</v>
      </c>
      <c r="F29" s="27">
        <v>2.35</v>
      </c>
      <c r="G29" s="25">
        <f t="shared" ref="G29:P29" si="15">$C$29*12*G35</f>
        <v>13741.860000000002</v>
      </c>
      <c r="H29" s="33" t="s">
        <v>20</v>
      </c>
      <c r="I29" s="27">
        <v>2.35</v>
      </c>
      <c r="J29" s="25">
        <f t="shared" si="15"/>
        <v>20058.66</v>
      </c>
      <c r="K29" s="33" t="s">
        <v>20</v>
      </c>
      <c r="L29" s="27">
        <v>2.35</v>
      </c>
      <c r="M29" s="25">
        <f t="shared" si="15"/>
        <v>11674.800000000001</v>
      </c>
      <c r="N29" s="33" t="s">
        <v>20</v>
      </c>
      <c r="O29" s="27">
        <v>2.35</v>
      </c>
      <c r="P29" s="25">
        <f t="shared" si="15"/>
        <v>20659.320000000003</v>
      </c>
      <c r="Q29" s="31" t="s">
        <v>35</v>
      </c>
      <c r="R29" s="33" t="s">
        <v>20</v>
      </c>
      <c r="S29" s="27">
        <v>0</v>
      </c>
      <c r="T29" s="25">
        <f>$S$29*12*T35</f>
        <v>0</v>
      </c>
      <c r="U29" s="33" t="s">
        <v>20</v>
      </c>
      <c r="V29" s="27">
        <v>0</v>
      </c>
      <c r="W29" s="25">
        <f>$S$29*12*W35</f>
        <v>0</v>
      </c>
    </row>
    <row r="30" spans="1:27" s="13" customFormat="1" ht="39.75" customHeight="1" x14ac:dyDescent="0.2">
      <c r="A30" s="31" t="s">
        <v>36</v>
      </c>
      <c r="B30" s="27" t="s">
        <v>1</v>
      </c>
      <c r="C30" s="27">
        <v>0.36</v>
      </c>
      <c r="D30" s="12">
        <f>$C$30*12*D35</f>
        <v>2236.4640000000004</v>
      </c>
      <c r="E30" s="27" t="s">
        <v>1</v>
      </c>
      <c r="F30" s="27">
        <v>0.36</v>
      </c>
      <c r="G30" s="12">
        <f t="shared" ref="G30:P30" si="16">$C$30*12*G35</f>
        <v>2105.136</v>
      </c>
      <c r="H30" s="27" t="s">
        <v>1</v>
      </c>
      <c r="I30" s="27">
        <v>0.36</v>
      </c>
      <c r="J30" s="12">
        <f t="shared" si="16"/>
        <v>3072.8159999999998</v>
      </c>
      <c r="K30" s="27" t="s">
        <v>1</v>
      </c>
      <c r="L30" s="27">
        <v>0.36</v>
      </c>
      <c r="M30" s="12">
        <f t="shared" si="16"/>
        <v>1788.48</v>
      </c>
      <c r="N30" s="27" t="s">
        <v>1</v>
      </c>
      <c r="O30" s="27">
        <v>0.36</v>
      </c>
      <c r="P30" s="12">
        <f t="shared" si="16"/>
        <v>3164.8320000000003</v>
      </c>
      <c r="Q30" s="31" t="s">
        <v>36</v>
      </c>
      <c r="R30" s="27" t="s">
        <v>1</v>
      </c>
      <c r="S30" s="27">
        <v>0.36</v>
      </c>
      <c r="T30" s="12">
        <f>$S$30*12*T35</f>
        <v>3148.848</v>
      </c>
      <c r="U30" s="27" t="s">
        <v>1</v>
      </c>
      <c r="V30" s="27">
        <v>0.36</v>
      </c>
      <c r="W30" s="12">
        <f>$S$30*12*W35</f>
        <v>2656.8</v>
      </c>
    </row>
    <row r="31" spans="1:27" s="13" customFormat="1" ht="26.25" customHeight="1" x14ac:dyDescent="0.2">
      <c r="A31" s="31" t="s">
        <v>37</v>
      </c>
      <c r="B31" s="27" t="s">
        <v>38</v>
      </c>
      <c r="C31" s="27">
        <v>0.33</v>
      </c>
      <c r="D31" s="12">
        <f>$C$31*12*D35</f>
        <v>2050.0920000000001</v>
      </c>
      <c r="E31" s="27" t="s">
        <v>38</v>
      </c>
      <c r="F31" s="27">
        <v>0.33</v>
      </c>
      <c r="G31" s="12">
        <f t="shared" ref="G31:P31" si="17">$C$31*12*G35</f>
        <v>1929.7080000000001</v>
      </c>
      <c r="H31" s="27" t="s">
        <v>38</v>
      </c>
      <c r="I31" s="27">
        <v>0.33</v>
      </c>
      <c r="J31" s="12">
        <f t="shared" si="17"/>
        <v>2816.7479999999996</v>
      </c>
      <c r="K31" s="27" t="s">
        <v>38</v>
      </c>
      <c r="L31" s="27">
        <v>0.33</v>
      </c>
      <c r="M31" s="12">
        <f t="shared" si="17"/>
        <v>1639.44</v>
      </c>
      <c r="N31" s="27" t="s">
        <v>38</v>
      </c>
      <c r="O31" s="27">
        <v>0.33</v>
      </c>
      <c r="P31" s="12">
        <f t="shared" si="17"/>
        <v>2901.096</v>
      </c>
      <c r="Q31" s="31" t="s">
        <v>37</v>
      </c>
      <c r="R31" s="27" t="s">
        <v>38</v>
      </c>
      <c r="S31" s="27">
        <v>0.33</v>
      </c>
      <c r="T31" s="12">
        <f>$S$31*12*T35</f>
        <v>2886.444</v>
      </c>
      <c r="U31" s="27" t="s">
        <v>38</v>
      </c>
      <c r="V31" s="27">
        <v>0.33</v>
      </c>
      <c r="W31" s="12">
        <f>$S$31*12*W35</f>
        <v>2435.4</v>
      </c>
    </row>
    <row r="32" spans="1:27" s="13" customFormat="1" ht="78.75" customHeight="1" x14ac:dyDescent="0.2">
      <c r="A32" s="35" t="s">
        <v>27</v>
      </c>
      <c r="B32" s="27" t="s">
        <v>28</v>
      </c>
      <c r="C32" s="34">
        <f>2.85+0.46</f>
        <v>3.31</v>
      </c>
      <c r="D32" s="18">
        <f>$C$32*12*D35</f>
        <v>20563.044000000002</v>
      </c>
      <c r="E32" s="27" t="s">
        <v>28</v>
      </c>
      <c r="F32" s="34">
        <f>2.85+0.14</f>
        <v>2.99</v>
      </c>
      <c r="G32" s="18">
        <f>F32*12*G35</f>
        <v>17484.324000000001</v>
      </c>
      <c r="H32" s="27" t="s">
        <v>28</v>
      </c>
      <c r="I32" s="34">
        <f>2.85+0.45</f>
        <v>3.3000000000000003</v>
      </c>
      <c r="J32" s="18">
        <f>I32*12*J35</f>
        <v>28167.48</v>
      </c>
      <c r="K32" s="27" t="s">
        <v>28</v>
      </c>
      <c r="L32" s="34">
        <f>2.85+0.44</f>
        <v>3.29</v>
      </c>
      <c r="M32" s="18">
        <f>L32*12*M35</f>
        <v>16344.720000000001</v>
      </c>
      <c r="N32" s="27" t="s">
        <v>28</v>
      </c>
      <c r="O32" s="34">
        <f>2.85+0.43</f>
        <v>3.2800000000000002</v>
      </c>
      <c r="P32" s="18">
        <f>O32*12*P35</f>
        <v>28835.136000000002</v>
      </c>
      <c r="Q32" s="35" t="s">
        <v>27</v>
      </c>
      <c r="R32" s="27" t="s">
        <v>28</v>
      </c>
      <c r="S32" s="34">
        <v>2.85</v>
      </c>
      <c r="T32" s="18">
        <f>$S$32*12*T35</f>
        <v>24928.38</v>
      </c>
      <c r="U32" s="27" t="s">
        <v>28</v>
      </c>
      <c r="V32" s="34">
        <f>2.85+0.47</f>
        <v>3.3200000000000003</v>
      </c>
      <c r="W32" s="18">
        <f>V32*12*W35</f>
        <v>24501.600000000002</v>
      </c>
      <c r="X32" s="43"/>
      <c r="Y32" s="43"/>
      <c r="Z32" s="43"/>
      <c r="AA32" s="43"/>
    </row>
    <row r="33" spans="1:30" s="13" customFormat="1" ht="33" customHeight="1" x14ac:dyDescent="0.2">
      <c r="A33" s="35" t="s">
        <v>49</v>
      </c>
      <c r="B33" s="27" t="s">
        <v>28</v>
      </c>
      <c r="C33" s="34">
        <v>0.65</v>
      </c>
      <c r="D33" s="18">
        <f>$C$33*12*D35</f>
        <v>4038.0600000000009</v>
      </c>
      <c r="E33" s="27" t="s">
        <v>28</v>
      </c>
      <c r="F33" s="34">
        <v>0.65</v>
      </c>
      <c r="G33" s="18">
        <f t="shared" ref="G33:P33" si="18">$C$33*12*G35</f>
        <v>3800.9400000000005</v>
      </c>
      <c r="H33" s="27" t="s">
        <v>28</v>
      </c>
      <c r="I33" s="34">
        <v>0.65</v>
      </c>
      <c r="J33" s="18">
        <f t="shared" si="18"/>
        <v>5548.14</v>
      </c>
      <c r="K33" s="27" t="s">
        <v>28</v>
      </c>
      <c r="L33" s="34">
        <v>0.65</v>
      </c>
      <c r="M33" s="18">
        <f t="shared" si="18"/>
        <v>3229.2000000000003</v>
      </c>
      <c r="N33" s="27" t="s">
        <v>28</v>
      </c>
      <c r="O33" s="34">
        <v>0.65</v>
      </c>
      <c r="P33" s="18">
        <f t="shared" si="18"/>
        <v>5714.2800000000007</v>
      </c>
      <c r="Q33" s="35" t="s">
        <v>49</v>
      </c>
      <c r="R33" s="27" t="s">
        <v>28</v>
      </c>
      <c r="S33" s="34">
        <v>0.65</v>
      </c>
      <c r="T33" s="18">
        <f>$S$33*12*T35</f>
        <v>5685.42</v>
      </c>
      <c r="U33" s="27" t="s">
        <v>28</v>
      </c>
      <c r="V33" s="34">
        <v>0.65</v>
      </c>
      <c r="W33" s="18">
        <f>$S$33*12*W35</f>
        <v>4797</v>
      </c>
      <c r="X33" s="43"/>
      <c r="Y33" s="43"/>
      <c r="Z33" s="43"/>
      <c r="AA33" s="43"/>
    </row>
    <row r="34" spans="1:30" s="19" customFormat="1" ht="21.75" customHeight="1" x14ac:dyDescent="0.2">
      <c r="A34" s="39" t="s">
        <v>50</v>
      </c>
      <c r="B34" s="37"/>
      <c r="C34" s="28"/>
      <c r="D34" s="5">
        <f>D33+D32+D26+D22+D14+D9</f>
        <v>148352.11200000002</v>
      </c>
      <c r="E34" s="37"/>
      <c r="F34" s="28"/>
      <c r="G34" s="5">
        <f t="shared" ref="G34:P34" si="19">G33+G32+G26+G22+G14+G9</f>
        <v>126425.11200000001</v>
      </c>
      <c r="H34" s="37"/>
      <c r="I34" s="28"/>
      <c r="J34" s="5">
        <f t="shared" si="19"/>
        <v>203488.70399999997</v>
      </c>
      <c r="K34" s="37"/>
      <c r="L34" s="28"/>
      <c r="M34" s="5">
        <f t="shared" si="19"/>
        <v>117990</v>
      </c>
      <c r="N34" s="37"/>
      <c r="O34" s="28"/>
      <c r="P34" s="5">
        <f t="shared" si="19"/>
        <v>210900.88800000001</v>
      </c>
      <c r="Q34" s="39" t="s">
        <v>50</v>
      </c>
      <c r="R34" s="37"/>
      <c r="S34" s="28"/>
      <c r="T34" s="5">
        <f>T33+T32+T26+T22+T14+T9</f>
        <v>139336.524</v>
      </c>
      <c r="U34" s="37"/>
      <c r="V34" s="28"/>
      <c r="W34" s="5">
        <f>W33+W32+W26+W22+W14+W9</f>
        <v>142138.79999999999</v>
      </c>
      <c r="X34" s="44">
        <f>T34+W34+P34+M34+J34+G34+D34</f>
        <v>1088632.1399999999</v>
      </c>
      <c r="Y34" s="44">
        <f>X34/12</f>
        <v>90719.344999999987</v>
      </c>
      <c r="Z34" s="44">
        <f>Y34*5/100</f>
        <v>4535.9672499999988</v>
      </c>
      <c r="AA34" s="45"/>
    </row>
    <row r="35" spans="1:30" s="2" customFormat="1" ht="24.75" customHeight="1" x14ac:dyDescent="0.2">
      <c r="A35" s="39" t="s">
        <v>51</v>
      </c>
      <c r="B35" s="37"/>
      <c r="C35" s="28"/>
      <c r="D35" s="41">
        <v>517.70000000000005</v>
      </c>
      <c r="E35" s="37"/>
      <c r="F35" s="28"/>
      <c r="G35" s="41">
        <v>487.3</v>
      </c>
      <c r="H35" s="37"/>
      <c r="I35" s="28"/>
      <c r="J35" s="41">
        <v>711.3</v>
      </c>
      <c r="K35" s="37"/>
      <c r="L35" s="28"/>
      <c r="M35" s="41">
        <v>414</v>
      </c>
      <c r="N35" s="37"/>
      <c r="O35" s="28"/>
      <c r="P35" s="41">
        <v>732.6</v>
      </c>
      <c r="Q35" s="39" t="s">
        <v>51</v>
      </c>
      <c r="R35" s="37"/>
      <c r="S35" s="28"/>
      <c r="T35" s="41">
        <v>728.9</v>
      </c>
      <c r="U35" s="37"/>
      <c r="V35" s="28"/>
      <c r="W35" s="41">
        <v>615</v>
      </c>
      <c r="X35" s="44">
        <f>T35+W35+P35+M35+J35+G35+D35</f>
        <v>4206.8</v>
      </c>
      <c r="Y35" s="46"/>
      <c r="Z35" s="46">
        <f>X35*80*70/100</f>
        <v>235580.79999999999</v>
      </c>
      <c r="AA35" s="47"/>
    </row>
    <row r="36" spans="1:30" s="2" customFormat="1" ht="25.5" customHeight="1" x14ac:dyDescent="0.2">
      <c r="A36" s="36" t="s">
        <v>52</v>
      </c>
      <c r="B36" s="28"/>
      <c r="C36" s="28">
        <f>C14+C22+C26+C32+C9+C33</f>
        <v>23.879999999999995</v>
      </c>
      <c r="D36" s="6">
        <f>D34 /12/D35</f>
        <v>23.88</v>
      </c>
      <c r="E36" s="28"/>
      <c r="F36" s="28">
        <f>F14+F22+F26+F32+F9+F33</f>
        <v>21.620000000000005</v>
      </c>
      <c r="G36" s="6">
        <f t="shared" ref="G36:P36" si="20">G34 /12/G35</f>
        <v>21.62</v>
      </c>
      <c r="H36" s="28"/>
      <c r="I36" s="28">
        <f>I14+I22+I26+I32+I9+I33</f>
        <v>23.839999999999996</v>
      </c>
      <c r="J36" s="6">
        <f t="shared" si="20"/>
        <v>23.839999999999996</v>
      </c>
      <c r="K36" s="28"/>
      <c r="L36" s="28">
        <f>L14+L22+L26+L32+L9+L33</f>
        <v>23.75</v>
      </c>
      <c r="M36" s="6">
        <f t="shared" si="20"/>
        <v>23.75</v>
      </c>
      <c r="N36" s="28"/>
      <c r="O36" s="28">
        <f>O14+O22+O26+O32+O9+O33</f>
        <v>23.990000000000002</v>
      </c>
      <c r="P36" s="6">
        <f t="shared" si="20"/>
        <v>23.99</v>
      </c>
      <c r="Q36" s="36" t="s">
        <v>52</v>
      </c>
      <c r="R36" s="28"/>
      <c r="S36" s="28">
        <f>S14+S22+S26+S32+S9+S33</f>
        <v>15.93</v>
      </c>
      <c r="T36" s="6">
        <f>T34 /12/T35</f>
        <v>15.930000000000001</v>
      </c>
      <c r="U36" s="28"/>
      <c r="V36" s="28">
        <f>V14+V22+V26+V32+V9+V33</f>
        <v>19.259999999999998</v>
      </c>
      <c r="W36" s="6">
        <f>W34 /12/W35</f>
        <v>19.259999999999998</v>
      </c>
      <c r="X36" s="46"/>
      <c r="Y36" s="46"/>
      <c r="Z36" s="46"/>
      <c r="AA36" s="47"/>
    </row>
    <row r="37" spans="1:30" s="2" customFormat="1" ht="15.75" customHeight="1" x14ac:dyDescent="0.2">
      <c r="A37" s="8"/>
      <c r="B37" s="10"/>
      <c r="C37" s="10"/>
      <c r="D37" s="9"/>
      <c r="E37" s="10"/>
      <c r="F37" s="10"/>
      <c r="G37" s="9"/>
      <c r="H37" s="10"/>
      <c r="I37" s="10"/>
      <c r="J37" s="9"/>
      <c r="K37" s="10"/>
      <c r="L37" s="10"/>
      <c r="M37" s="9"/>
      <c r="N37" s="10"/>
      <c r="O37" s="10"/>
      <c r="P37" s="9"/>
      <c r="X37" s="47"/>
      <c r="Y37" s="47"/>
      <c r="Z37" s="47"/>
      <c r="AA37" s="47"/>
    </row>
    <row r="38" spans="1:30" s="2" customFormat="1" ht="25.5" customHeight="1" x14ac:dyDescent="0.2">
      <c r="A38" s="8"/>
      <c r="B38" s="10"/>
      <c r="C38" s="10"/>
      <c r="D38" s="9"/>
      <c r="E38" s="10"/>
      <c r="F38" s="10"/>
      <c r="G38" s="9"/>
      <c r="H38" s="10"/>
      <c r="I38" s="10"/>
      <c r="J38" s="9"/>
      <c r="K38" s="10"/>
      <c r="L38" s="10"/>
      <c r="M38" s="9"/>
      <c r="N38" s="10"/>
      <c r="O38" s="10"/>
      <c r="P38" s="9"/>
      <c r="X38" s="47"/>
      <c r="Y38" s="47"/>
      <c r="Z38" s="47"/>
      <c r="AA38" s="47"/>
    </row>
    <row r="39" spans="1:30" s="13" customFormat="1" ht="12.75" customHeight="1" x14ac:dyDescent="0.2">
      <c r="A39" s="21"/>
      <c r="B39" s="15"/>
      <c r="C39" s="15"/>
      <c r="D39" s="20"/>
      <c r="E39" s="15"/>
      <c r="F39" s="15"/>
      <c r="G39" s="20"/>
      <c r="H39" s="15"/>
      <c r="I39" s="15"/>
      <c r="J39" s="20"/>
      <c r="K39" s="15"/>
      <c r="L39" s="15"/>
      <c r="M39" s="20"/>
      <c r="N39" s="15"/>
      <c r="O39" s="15"/>
      <c r="P39" s="20"/>
      <c r="Y39" s="43"/>
      <c r="Z39" s="43"/>
      <c r="AA39" s="43"/>
    </row>
    <row r="40" spans="1:30" s="13" customFormat="1" ht="12.75" hidden="1" customHeight="1" x14ac:dyDescent="0.2">
      <c r="A40" s="21"/>
      <c r="B40" s="15"/>
      <c r="C40" s="15"/>
      <c r="D40" s="20"/>
      <c r="E40" s="15"/>
      <c r="F40" s="15"/>
      <c r="G40" s="20"/>
      <c r="H40" s="15"/>
      <c r="I40" s="15"/>
      <c r="J40" s="20"/>
      <c r="K40" s="15"/>
      <c r="L40" s="15"/>
      <c r="M40" s="20"/>
      <c r="N40" s="15"/>
      <c r="O40" s="15"/>
      <c r="P40" s="20"/>
    </row>
    <row r="41" spans="1:30" s="13" customFormat="1" x14ac:dyDescent="0.2">
      <c r="A41" s="21"/>
      <c r="B41" s="15"/>
      <c r="C41" s="15"/>
      <c r="D41" s="20"/>
      <c r="E41" s="15"/>
      <c r="F41" s="15"/>
      <c r="G41" s="20"/>
      <c r="H41" s="15"/>
      <c r="I41" s="15"/>
      <c r="J41" s="20"/>
      <c r="K41" s="15"/>
      <c r="L41" s="15"/>
      <c r="M41" s="20"/>
      <c r="N41" s="15"/>
      <c r="O41" s="15"/>
      <c r="P41" s="20"/>
    </row>
    <row r="42" spans="1:30" s="13" customFormat="1" x14ac:dyDescent="0.2">
      <c r="A42" s="21"/>
      <c r="B42" s="15"/>
      <c r="C42" s="15"/>
      <c r="D42" s="20"/>
      <c r="E42" s="15"/>
      <c r="F42" s="15"/>
      <c r="G42" s="20"/>
      <c r="H42" s="15"/>
      <c r="I42" s="15"/>
      <c r="J42" s="20"/>
      <c r="K42" s="15"/>
      <c r="L42" s="15"/>
      <c r="M42" s="20"/>
      <c r="N42" s="15"/>
      <c r="O42" s="15"/>
      <c r="P42" s="20"/>
    </row>
    <row r="43" spans="1:30" s="1" customFormat="1" x14ac:dyDescent="0.2">
      <c r="A43" s="21" t="s">
        <v>0</v>
      </c>
      <c r="B43" s="15"/>
      <c r="C43" s="15"/>
      <c r="D43" s="20"/>
      <c r="E43" s="15"/>
      <c r="F43" s="15"/>
      <c r="G43" s="20"/>
      <c r="H43" s="15"/>
      <c r="I43" s="15"/>
      <c r="J43" s="20"/>
      <c r="K43" s="15"/>
      <c r="L43" s="15"/>
      <c r="M43" s="20"/>
      <c r="N43" s="15"/>
      <c r="O43" s="15"/>
      <c r="P43" s="20"/>
      <c r="T43" s="13"/>
      <c r="X43" s="13"/>
      <c r="Y43" s="13"/>
      <c r="Z43" s="13"/>
      <c r="AA43" s="13"/>
      <c r="AB43" s="13"/>
      <c r="AC43" s="13"/>
      <c r="AD43" s="13"/>
    </row>
    <row r="44" spans="1:30" s="1" customFormat="1" x14ac:dyDescent="0.2">
      <c r="A44" s="21"/>
      <c r="B44" s="15"/>
      <c r="C44" s="15"/>
      <c r="D44" s="20"/>
      <c r="E44" s="15"/>
      <c r="F44" s="15"/>
      <c r="G44" s="20"/>
      <c r="H44" s="15"/>
      <c r="I44" s="15"/>
      <c r="J44" s="20"/>
      <c r="K44" s="15"/>
      <c r="L44" s="15"/>
      <c r="M44" s="20"/>
      <c r="N44" s="15"/>
      <c r="O44" s="15"/>
      <c r="P44" s="20"/>
      <c r="T44" s="13"/>
      <c r="X44" s="13"/>
      <c r="Y44" s="13"/>
      <c r="Z44" s="13"/>
      <c r="AA44" s="13"/>
      <c r="AB44" s="13"/>
      <c r="AC44" s="13"/>
      <c r="AD44" s="13"/>
    </row>
  </sheetData>
  <mergeCells count="23">
    <mergeCell ref="T6:T7"/>
    <mergeCell ref="R6:R8"/>
    <mergeCell ref="I7:I8"/>
    <mergeCell ref="K6:K8"/>
    <mergeCell ref="L7:L8"/>
    <mergeCell ref="N6:N8"/>
    <mergeCell ref="O7:O8"/>
    <mergeCell ref="W6:W7"/>
    <mergeCell ref="S7:S8"/>
    <mergeCell ref="A6:A8"/>
    <mergeCell ref="B6:B8"/>
    <mergeCell ref="D6:D7"/>
    <mergeCell ref="C7:C8"/>
    <mergeCell ref="Q6:Q8"/>
    <mergeCell ref="G6:G7"/>
    <mergeCell ref="J6:J7"/>
    <mergeCell ref="M6:M7"/>
    <mergeCell ref="P6:P7"/>
    <mergeCell ref="E6:E8"/>
    <mergeCell ref="F7:F8"/>
    <mergeCell ref="H6:H8"/>
    <mergeCell ref="U6:U8"/>
    <mergeCell ref="V7:V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2018-03-23T12:12:34Z</dcterms:modified>
</cp:coreProperties>
</file>